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y Data\FY19\ODEE\ProForma\"/>
    </mc:Choice>
  </mc:AlternateContent>
  <workbookProtection workbookPassword="9F42" lockStructure="1"/>
  <bookViews>
    <workbookView xWindow="360" yWindow="210" windowWidth="18510" windowHeight="11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Sheet1!$A$1:$J$59</definedName>
    <definedName name="Rank">Sheet2!$B$1:$B$2</definedName>
  </definedNames>
  <calcPr calcId="162913"/>
</workbook>
</file>

<file path=xl/calcChain.xml><?xml version="1.0" encoding="utf-8"?>
<calcChain xmlns="http://schemas.openxmlformats.org/spreadsheetml/2006/main">
  <c r="H18" i="1" l="1"/>
  <c r="G18" i="1"/>
  <c r="F18" i="1"/>
  <c r="E18" i="1"/>
  <c r="E76" i="1" l="1"/>
  <c r="D76" i="1"/>
  <c r="E73" i="1"/>
  <c r="D73" i="1"/>
  <c r="D15" i="1" l="1"/>
  <c r="E74" i="1"/>
  <c r="G67" i="1" s="1"/>
  <c r="D74" i="1"/>
  <c r="E63" i="1" s="1"/>
  <c r="D62" i="1"/>
  <c r="E71" i="1"/>
  <c r="F17" i="1"/>
  <c r="G17" i="1" s="1"/>
  <c r="H17" i="1" s="1"/>
  <c r="D66" i="1"/>
  <c r="F16" i="1"/>
  <c r="G16" i="1" s="1"/>
  <c r="H16" i="1" s="1"/>
  <c r="D18" i="1"/>
  <c r="E15" i="1"/>
  <c r="F15" i="1"/>
  <c r="G15" i="1" s="1"/>
  <c r="H15" i="1" s="1"/>
  <c r="B15" i="1"/>
  <c r="H42" i="1" s="1"/>
  <c r="H66" i="1"/>
  <c r="G66" i="1"/>
  <c r="F66" i="1"/>
  <c r="E66" i="1"/>
  <c r="H62" i="1"/>
  <c r="G62" i="1"/>
  <c r="F62" i="1"/>
  <c r="E62" i="1"/>
  <c r="H37" i="1"/>
  <c r="G37" i="1"/>
  <c r="F37" i="1"/>
  <c r="E37" i="1"/>
  <c r="D37" i="1"/>
  <c r="J3" i="1"/>
  <c r="D45" i="1"/>
  <c r="D24" i="1"/>
  <c r="D26" i="1"/>
  <c r="E64" i="1"/>
  <c r="D64" i="1"/>
  <c r="F64" i="1"/>
  <c r="H64" i="1"/>
  <c r="D68" i="1"/>
  <c r="F68" i="1"/>
  <c r="H68" i="1"/>
  <c r="G64" i="1"/>
  <c r="E68" i="1"/>
  <c r="G68" i="1"/>
  <c r="D29" i="1" l="1"/>
  <c r="D30" i="1" s="1"/>
  <c r="D67" i="1"/>
  <c r="H67" i="1"/>
  <c r="F67" i="1"/>
  <c r="G63" i="1"/>
  <c r="F44" i="1"/>
  <c r="E44" i="1"/>
  <c r="E67" i="1"/>
  <c r="G44" i="1"/>
  <c r="H63" i="1"/>
  <c r="F63" i="1"/>
  <c r="E42" i="1"/>
  <c r="F21" i="1"/>
  <c r="F23" i="1" s="1"/>
  <c r="F43" i="1"/>
  <c r="H20" i="1"/>
  <c r="G42" i="1"/>
  <c r="E20" i="1"/>
  <c r="E22" i="1" s="1"/>
  <c r="G21" i="1"/>
  <c r="G23" i="1" s="1"/>
  <c r="H21" i="1"/>
  <c r="E21" i="1"/>
  <c r="E23" i="1" s="1"/>
  <c r="E43" i="1"/>
  <c r="F20" i="1"/>
  <c r="F22" i="1" s="1"/>
  <c r="F42" i="1"/>
  <c r="G20" i="1"/>
  <c r="G22" i="1" s="1"/>
  <c r="G43" i="1"/>
  <c r="D63" i="1"/>
  <c r="H44" i="1" l="1"/>
  <c r="D31" i="1"/>
  <c r="H23" i="1"/>
  <c r="H22" i="1"/>
  <c r="E45" i="1"/>
  <c r="H43" i="1"/>
  <c r="H45" i="1" s="1"/>
  <c r="G45" i="1"/>
  <c r="E24" i="1"/>
  <c r="E26" i="1" s="1"/>
  <c r="E29" i="1" s="1"/>
  <c r="E30" i="1" s="1"/>
  <c r="F45" i="1"/>
  <c r="F24" i="1"/>
  <c r="G24" i="1"/>
  <c r="D34" i="1" l="1"/>
  <c r="D35" i="1" s="1"/>
  <c r="D38" i="1"/>
  <c r="D39" i="1"/>
  <c r="D47" i="1" s="1"/>
  <c r="H24" i="1"/>
  <c r="H26" i="1" s="1"/>
  <c r="F26" i="1"/>
  <c r="F29" i="1" s="1"/>
  <c r="F31" i="1" s="1"/>
  <c r="F38" i="1" s="1"/>
  <c r="G26" i="1"/>
  <c r="G29" i="1" s="1"/>
  <c r="G31" i="1" s="1"/>
  <c r="G34" i="1" s="1"/>
  <c r="E31" i="1"/>
  <c r="E34" i="1" s="1"/>
  <c r="E35" i="1" s="1"/>
  <c r="H29" i="1" l="1"/>
  <c r="H31" i="1" s="1"/>
  <c r="F34" i="1"/>
  <c r="F35" i="1" s="1"/>
  <c r="G35" i="1" s="1"/>
  <c r="F30" i="1"/>
  <c r="G30" i="1" s="1"/>
  <c r="E38" i="1"/>
  <c r="E39" i="1" s="1"/>
  <c r="E47" i="1" s="1"/>
  <c r="G38" i="1"/>
  <c r="H38" i="1" l="1"/>
  <c r="H34" i="1"/>
  <c r="H35" i="1" s="1"/>
  <c r="H30" i="1"/>
  <c r="F39" i="1"/>
  <c r="F47" i="1" s="1"/>
  <c r="G39" i="1" l="1"/>
  <c r="G47" i="1" s="1"/>
  <c r="H39" i="1" l="1"/>
  <c r="H47" i="1" s="1"/>
</calcChain>
</file>

<file path=xl/sharedStrings.xml><?xml version="1.0" encoding="utf-8"?>
<sst xmlns="http://schemas.openxmlformats.org/spreadsheetml/2006/main" count="72" uniqueCount="63">
  <si>
    <t>Office of Distance Education and eLearning (ODEE)</t>
  </si>
  <si>
    <t>Rank</t>
  </si>
  <si>
    <t>Undergraduate</t>
  </si>
  <si>
    <t># of Courses</t>
  </si>
  <si>
    <t>Total Credit Hours of Instruction</t>
  </si>
  <si>
    <t>Graduate</t>
  </si>
  <si>
    <t>Marginal Revenue</t>
  </si>
  <si>
    <t>Support Units Tax rate</t>
  </si>
  <si>
    <t xml:space="preserve">Support Units Tax </t>
  </si>
  <si>
    <t>Cumulative Support Units Tax</t>
  </si>
  <si>
    <t>Net Margin</t>
  </si>
  <si>
    <t>Colleges Share %</t>
  </si>
  <si>
    <t>Colleges Share - Annual PBA</t>
  </si>
  <si>
    <t>Colleges Share (Cumulative Cash Generated)</t>
  </si>
  <si>
    <t>ODEE Share %</t>
  </si>
  <si>
    <t>ODEE Share Annual PBA</t>
  </si>
  <si>
    <t>ODEE Share (Cumulative Cash Generated)</t>
  </si>
  <si>
    <t>Undergrad</t>
  </si>
  <si>
    <t>Instructional Fee</t>
  </si>
  <si>
    <t>Non-Resident</t>
  </si>
  <si>
    <t>State Subsidy</t>
  </si>
  <si>
    <t>per Credit Hour</t>
  </si>
  <si>
    <t>Undergraduate:</t>
  </si>
  <si>
    <t>UG Unweighted (simulates fees) Resident</t>
  </si>
  <si>
    <t>UG Unweighted (simulates fees) Non-Resident</t>
  </si>
  <si>
    <t>UG Weighted (simulates SSI bac1,2 blend)</t>
  </si>
  <si>
    <t>Grad Fees - Resident</t>
  </si>
  <si>
    <t>Grad Fees - Non Resident</t>
  </si>
  <si>
    <t>Grad Subsidy</t>
  </si>
  <si>
    <t>College:</t>
  </si>
  <si>
    <t>Program Name:</t>
  </si>
  <si>
    <t>Number of Courses:</t>
  </si>
  <si>
    <t>Total Credit Hours</t>
  </si>
  <si>
    <t>Projected Fees</t>
  </si>
  <si>
    <t>Projected Subsidy</t>
  </si>
  <si>
    <t>Projected Revenue Generated</t>
  </si>
  <si>
    <t># of Students</t>
  </si>
  <si>
    <t># of Credit Hours</t>
  </si>
  <si>
    <t>Total Current Assessments</t>
  </si>
  <si>
    <t>Current Budget Model:</t>
  </si>
  <si>
    <t>Fees - Effective Rates</t>
  </si>
  <si>
    <t xml:space="preserve">Fees -  Effective Rates </t>
  </si>
  <si>
    <r>
      <t xml:space="preserve">Distance Education Program Revenue </t>
    </r>
    <r>
      <rPr>
        <b/>
        <i/>
        <sz val="12"/>
        <color rgb="FFFF0000"/>
        <rFont val="Calibri"/>
        <family val="2"/>
        <scheme val="minor"/>
      </rPr>
      <t>Projection - DRAFT</t>
    </r>
  </si>
  <si>
    <t>College Assessment savings under new model</t>
  </si>
  <si>
    <t>No other Student Services Assessments would apply to Colleges under this model.</t>
  </si>
  <si>
    <t>The Distance Education assessment applies to marginal revenues.</t>
  </si>
  <si>
    <t>No inflationary adjustment is taken for instructional fees.</t>
  </si>
  <si>
    <t>Assumptions:</t>
  </si>
  <si>
    <t>The Distance Education assessment only apply to students who are 100% distance Ed.</t>
  </si>
  <si>
    <t>Fees</t>
  </si>
  <si>
    <t>Subsidy</t>
  </si>
  <si>
    <t>The projected numbers in this model are best estimates and the actual allocations might be slightly different.</t>
  </si>
  <si>
    <t>Residency (in/Out State Split)</t>
  </si>
  <si>
    <t>2nd year</t>
  </si>
  <si>
    <t>3rd year</t>
  </si>
  <si>
    <t>4th year</t>
  </si>
  <si>
    <t>5th year</t>
  </si>
  <si>
    <t>1st year</t>
  </si>
  <si>
    <t>FY15</t>
  </si>
  <si>
    <r>
      <t xml:space="preserve">SSA 1 - Student Service Assessment 1 - UG - </t>
    </r>
    <r>
      <rPr>
        <i/>
        <sz val="8"/>
        <color theme="1"/>
        <rFont val="Calibri"/>
        <family val="2"/>
        <scheme val="minor"/>
      </rPr>
      <t>$118.12</t>
    </r>
  </si>
  <si>
    <r>
      <t xml:space="preserve">SSA 2 - Student Service Assessment 2 - Grad - </t>
    </r>
    <r>
      <rPr>
        <i/>
        <sz val="8"/>
        <color theme="1"/>
        <rFont val="Calibri"/>
        <family val="2"/>
        <scheme val="minor"/>
      </rPr>
      <t>$492.26</t>
    </r>
  </si>
  <si>
    <r>
      <t xml:space="preserve">SSA 3 - Student Service Assessment 3 - </t>
    </r>
    <r>
      <rPr>
        <i/>
        <sz val="8"/>
        <color theme="1"/>
        <rFont val="Calibri"/>
        <family val="2"/>
        <scheme val="minor"/>
      </rPr>
      <t>$4.36</t>
    </r>
  </si>
  <si>
    <t>Revenue and Assessments Calculation is based on the following current FY19 rates: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</si>
</sst>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0&quot; Course&quot;"/>
    <numFmt numFmtId="166" formatCode="#,#00.0&quot; hours&quot;"/>
    <numFmt numFmtId="167" formatCode="0&quot; Students&quot;"/>
    <numFmt numFmtId="168" formatCode="0&quot; Cr Hours&quot;"/>
    <numFmt numFmtId="169" formatCode="0%&quot; eligible&quot;"/>
  </numFmts>
  <fonts count="32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i/>
      <sz val="9"/>
      <color theme="9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2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/>
    <xf numFmtId="164" fontId="4" fillId="0" borderId="0" xfId="0" applyNumberFormat="1" applyFont="1"/>
    <xf numFmtId="0" fontId="5" fillId="2" borderId="1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vertical="center"/>
    </xf>
    <xf numFmtId="6" fontId="4" fillId="0" borderId="0" xfId="1" applyNumberFormat="1" applyFont="1" applyFill="1" applyBorder="1" applyAlignment="1">
      <alignment horizontal="right" vertical="center"/>
    </xf>
    <xf numFmtId="6" fontId="4" fillId="0" borderId="0" xfId="1" applyNumberFormat="1" applyFont="1" applyBorder="1" applyAlignment="1">
      <alignment horizontal="right" vertical="center"/>
    </xf>
    <xf numFmtId="6" fontId="4" fillId="0" borderId="20" xfId="1" applyNumberFormat="1" applyFont="1" applyFill="1" applyBorder="1" applyAlignment="1">
      <alignment horizontal="right" vertical="center"/>
    </xf>
    <xf numFmtId="6" fontId="4" fillId="0" borderId="20" xfId="1" applyNumberFormat="1" applyFont="1" applyBorder="1" applyAlignment="1">
      <alignment horizontal="right" vertical="center"/>
    </xf>
    <xf numFmtId="0" fontId="5" fillId="3" borderId="19" xfId="2" applyFont="1" applyFill="1" applyBorder="1" applyAlignment="1">
      <alignment vertical="center"/>
    </xf>
    <xf numFmtId="6" fontId="10" fillId="3" borderId="2" xfId="1" applyNumberFormat="1" applyFont="1" applyFill="1" applyBorder="1" applyAlignment="1">
      <alignment horizontal="right" vertical="center"/>
    </xf>
    <xf numFmtId="6" fontId="10" fillId="3" borderId="3" xfId="1" applyNumberFormat="1" applyFont="1" applyFill="1" applyBorder="1" applyAlignment="1">
      <alignment horizontal="right" vertical="center"/>
    </xf>
    <xf numFmtId="6" fontId="10" fillId="3" borderId="4" xfId="1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5" fillId="2" borderId="19" xfId="2" applyFont="1" applyFill="1" applyBorder="1" applyAlignment="1">
      <alignment vertical="center"/>
    </xf>
    <xf numFmtId="6" fontId="10" fillId="2" borderId="2" xfId="1" applyNumberFormat="1" applyFont="1" applyFill="1" applyBorder="1" applyAlignment="1">
      <alignment horizontal="right" vertical="center"/>
    </xf>
    <xf numFmtId="6" fontId="10" fillId="2" borderId="3" xfId="1" applyNumberFormat="1" applyFont="1" applyFill="1" applyBorder="1" applyAlignment="1">
      <alignment horizontal="right" vertical="center"/>
    </xf>
    <xf numFmtId="6" fontId="10" fillId="2" borderId="4" xfId="1" applyNumberFormat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vertical="center"/>
    </xf>
    <xf numFmtId="9" fontId="4" fillId="4" borderId="22" xfId="0" applyNumberFormat="1" applyFont="1" applyFill="1" applyBorder="1" applyAlignment="1">
      <alignment horizontal="right"/>
    </xf>
    <xf numFmtId="9" fontId="4" fillId="4" borderId="23" xfId="2" applyNumberFormat="1" applyFont="1" applyFill="1" applyBorder="1" applyAlignment="1">
      <alignment horizontal="right"/>
    </xf>
    <xf numFmtId="9" fontId="4" fillId="4" borderId="24" xfId="2" applyNumberFormat="1" applyFont="1" applyFill="1" applyBorder="1" applyAlignment="1">
      <alignment horizontal="right"/>
    </xf>
    <xf numFmtId="0" fontId="11" fillId="4" borderId="13" xfId="0" applyFont="1" applyFill="1" applyBorder="1" applyAlignment="1">
      <alignment vertical="center"/>
    </xf>
    <xf numFmtId="6" fontId="12" fillId="4" borderId="25" xfId="2" applyNumberFormat="1" applyFont="1" applyFill="1" applyBorder="1" applyAlignment="1">
      <alignment horizontal="right" vertical="center"/>
    </xf>
    <xf numFmtId="6" fontId="11" fillId="4" borderId="26" xfId="2" applyNumberFormat="1" applyFont="1" applyFill="1" applyBorder="1" applyAlignment="1">
      <alignment horizontal="right" vertical="center"/>
    </xf>
    <xf numFmtId="6" fontId="12" fillId="4" borderId="26" xfId="2" applyNumberFormat="1" applyFont="1" applyFill="1" applyBorder="1" applyAlignment="1">
      <alignment horizontal="right" vertical="center"/>
    </xf>
    <xf numFmtId="6" fontId="12" fillId="4" borderId="27" xfId="2" applyNumberFormat="1" applyFont="1" applyFill="1" applyBorder="1" applyAlignment="1">
      <alignment horizontal="right" vertical="center"/>
    </xf>
    <xf numFmtId="38" fontId="13" fillId="4" borderId="28" xfId="2" applyNumberFormat="1" applyFont="1" applyFill="1" applyBorder="1" applyAlignment="1">
      <alignment horizontal="left" vertical="center" indent="2"/>
    </xf>
    <xf numFmtId="38" fontId="14" fillId="4" borderId="29" xfId="2" applyNumberFormat="1" applyFont="1" applyFill="1" applyBorder="1" applyAlignment="1">
      <alignment horizontal="right" vertical="center"/>
    </xf>
    <xf numFmtId="38" fontId="15" fillId="4" borderId="30" xfId="2" applyNumberFormat="1" applyFont="1" applyFill="1" applyBorder="1" applyAlignment="1">
      <alignment horizontal="right" vertical="center"/>
    </xf>
    <xf numFmtId="38" fontId="14" fillId="4" borderId="30" xfId="2" applyNumberFormat="1" applyFont="1" applyFill="1" applyBorder="1" applyAlignment="1">
      <alignment horizontal="right" vertical="center"/>
    </xf>
    <xf numFmtId="38" fontId="14" fillId="4" borderId="31" xfId="2" applyNumberFormat="1" applyFont="1" applyFill="1" applyBorder="1" applyAlignment="1">
      <alignment horizontal="right" vertical="center"/>
    </xf>
    <xf numFmtId="0" fontId="16" fillId="4" borderId="19" xfId="0" applyFont="1" applyFill="1" applyBorder="1" applyAlignment="1">
      <alignment vertical="center"/>
    </xf>
    <xf numFmtId="6" fontId="17" fillId="4" borderId="32" xfId="2" applyNumberFormat="1" applyFont="1" applyFill="1" applyBorder="1" applyAlignment="1">
      <alignment horizontal="right" vertical="center"/>
    </xf>
    <xf numFmtId="6" fontId="17" fillId="4" borderId="33" xfId="2" applyNumberFormat="1" applyFont="1" applyFill="1" applyBorder="1" applyAlignment="1">
      <alignment horizontal="right" vertical="center"/>
    </xf>
    <xf numFmtId="6" fontId="17" fillId="4" borderId="34" xfId="2" applyNumberFormat="1" applyFont="1" applyFill="1" applyBorder="1" applyAlignment="1">
      <alignment horizontal="right" vertical="center"/>
    </xf>
    <xf numFmtId="0" fontId="18" fillId="4" borderId="5" xfId="0" applyFont="1" applyFill="1" applyBorder="1" applyAlignment="1">
      <alignment vertical="center"/>
    </xf>
    <xf numFmtId="9" fontId="19" fillId="0" borderId="35" xfId="2" applyNumberFormat="1" applyFont="1" applyFill="1" applyBorder="1" applyAlignment="1">
      <alignment horizontal="right" vertical="center"/>
    </xf>
    <xf numFmtId="9" fontId="19" fillId="0" borderId="36" xfId="2" applyNumberFormat="1" applyFont="1" applyFill="1" applyBorder="1" applyAlignment="1">
      <alignment horizontal="right" vertical="center"/>
    </xf>
    <xf numFmtId="9" fontId="19" fillId="0" borderId="37" xfId="2" applyNumberFormat="1" applyFont="1" applyFill="1" applyBorder="1" applyAlignment="1">
      <alignment horizontal="right" vertical="center"/>
    </xf>
    <xf numFmtId="0" fontId="7" fillId="3" borderId="13" xfId="2" applyFont="1" applyFill="1" applyBorder="1" applyAlignment="1">
      <alignment vertical="center"/>
    </xf>
    <xf numFmtId="6" fontId="20" fillId="3" borderId="14" xfId="1" applyNumberFormat="1" applyFont="1" applyFill="1" applyBorder="1" applyAlignment="1">
      <alignment horizontal="right" vertical="center"/>
    </xf>
    <xf numFmtId="6" fontId="20" fillId="3" borderId="15" xfId="1" applyNumberFormat="1" applyFont="1" applyFill="1" applyBorder="1" applyAlignment="1">
      <alignment horizontal="right" vertical="center"/>
    </xf>
    <xf numFmtId="6" fontId="20" fillId="3" borderId="16" xfId="1" applyNumberFormat="1" applyFont="1" applyFill="1" applyBorder="1" applyAlignment="1">
      <alignment horizontal="right" vertical="center"/>
    </xf>
    <xf numFmtId="0" fontId="7" fillId="3" borderId="9" xfId="2" applyFont="1" applyFill="1" applyBorder="1" applyAlignment="1">
      <alignment vertical="center"/>
    </xf>
    <xf numFmtId="6" fontId="20" fillId="3" borderId="10" xfId="1" applyNumberFormat="1" applyFont="1" applyFill="1" applyBorder="1" applyAlignment="1">
      <alignment horizontal="right" vertical="center"/>
    </xf>
    <xf numFmtId="6" fontId="20" fillId="3" borderId="11" xfId="1" applyNumberFormat="1" applyFont="1" applyFill="1" applyBorder="1" applyAlignment="1">
      <alignment horizontal="right" vertical="center"/>
    </xf>
    <xf numFmtId="6" fontId="20" fillId="3" borderId="12" xfId="1" applyNumberFormat="1" applyFont="1" applyFill="1" applyBorder="1" applyAlignment="1">
      <alignment horizontal="right" vertical="center"/>
    </xf>
    <xf numFmtId="0" fontId="4" fillId="0" borderId="20" xfId="0" applyFont="1" applyFill="1" applyBorder="1"/>
    <xf numFmtId="6" fontId="4" fillId="0" borderId="0" xfId="0" applyNumberFormat="1" applyFont="1"/>
    <xf numFmtId="8" fontId="4" fillId="0" borderId="43" xfId="0" applyNumberFormat="1" applyFont="1" applyBorder="1"/>
    <xf numFmtId="8" fontId="4" fillId="0" borderId="45" xfId="0" applyNumberFormat="1" applyFont="1" applyBorder="1"/>
    <xf numFmtId="8" fontId="4" fillId="0" borderId="46" xfId="0" applyNumberFormat="1" applyFont="1" applyBorder="1"/>
    <xf numFmtId="0" fontId="23" fillId="0" borderId="0" xfId="2" applyFont="1" applyBorder="1" applyAlignment="1">
      <alignment horizontal="center" vertical="center"/>
    </xf>
    <xf numFmtId="8" fontId="9" fillId="0" borderId="6" xfId="2" applyNumberFormat="1" applyFont="1" applyFill="1" applyBorder="1" applyAlignment="1">
      <alignment horizontal="right" vertical="center"/>
    </xf>
    <xf numFmtId="8" fontId="9" fillId="0" borderId="7" xfId="2" applyNumberFormat="1" applyFont="1" applyFill="1" applyBorder="1" applyAlignment="1">
      <alignment horizontal="right" vertical="center"/>
    </xf>
    <xf numFmtId="8" fontId="9" fillId="0" borderId="47" xfId="2" applyNumberFormat="1" applyFont="1" applyFill="1" applyBorder="1" applyAlignment="1">
      <alignment horizontal="right" vertical="center"/>
    </xf>
    <xf numFmtId="8" fontId="9" fillId="0" borderId="44" xfId="2" applyNumberFormat="1" applyFont="1" applyFill="1" applyBorder="1" applyAlignment="1">
      <alignment horizontal="right" vertical="center"/>
    </xf>
    <xf numFmtId="8" fontId="9" fillId="0" borderId="10" xfId="2" applyNumberFormat="1" applyFont="1" applyFill="1" applyBorder="1" applyAlignment="1">
      <alignment horizontal="right" vertical="center"/>
    </xf>
    <xf numFmtId="8" fontId="9" fillId="0" borderId="11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center" vertical="center"/>
    </xf>
    <xf numFmtId="0" fontId="25" fillId="0" borderId="0" xfId="0" applyFont="1" applyAlignment="1"/>
    <xf numFmtId="0" fontId="7" fillId="2" borderId="49" xfId="2" applyFont="1" applyFill="1" applyBorder="1" applyAlignment="1">
      <alignment horizontal="left" vertical="center" wrapText="1" indent="1"/>
    </xf>
    <xf numFmtId="0" fontId="7" fillId="2" borderId="1" xfId="2" applyFont="1" applyFill="1" applyBorder="1" applyAlignment="1">
      <alignment horizontal="left" vertical="center" wrapText="1" indent="1"/>
    </xf>
    <xf numFmtId="0" fontId="4" fillId="0" borderId="0" xfId="0" quotePrefix="1" applyFont="1"/>
    <xf numFmtId="0" fontId="12" fillId="5" borderId="5" xfId="2" applyFont="1" applyFill="1" applyBorder="1" applyAlignment="1">
      <alignment horizontal="left" vertical="center" wrapText="1" indent="2"/>
    </xf>
    <xf numFmtId="0" fontId="12" fillId="5" borderId="13" xfId="2" applyFont="1" applyFill="1" applyBorder="1" applyAlignment="1">
      <alignment horizontal="left" vertical="center" wrapText="1" indent="2"/>
    </xf>
    <xf numFmtId="0" fontId="12" fillId="5" borderId="28" xfId="2" applyFont="1" applyFill="1" applyBorder="1" applyAlignment="1">
      <alignment horizontal="left" vertical="center" wrapText="1" indent="2"/>
    </xf>
    <xf numFmtId="0" fontId="7" fillId="2" borderId="19" xfId="2" applyFont="1" applyFill="1" applyBorder="1" applyAlignment="1">
      <alignment horizontal="center" vertical="center" wrapText="1"/>
    </xf>
    <xf numFmtId="166" fontId="10" fillId="2" borderId="2" xfId="2" applyNumberFormat="1" applyFont="1" applyFill="1" applyBorder="1" applyAlignment="1">
      <alignment horizontal="right" vertical="center"/>
    </xf>
    <xf numFmtId="166" fontId="10" fillId="2" borderId="3" xfId="2" applyNumberFormat="1" applyFont="1" applyFill="1" applyBorder="1" applyAlignment="1">
      <alignment horizontal="right" vertical="center"/>
    </xf>
    <xf numFmtId="166" fontId="10" fillId="2" borderId="4" xfId="2" applyNumberFormat="1" applyFont="1" applyFill="1" applyBorder="1" applyAlignment="1">
      <alignment horizontal="right" vertical="center"/>
    </xf>
    <xf numFmtId="0" fontId="26" fillId="5" borderId="28" xfId="2" applyFont="1" applyFill="1" applyBorder="1" applyAlignment="1">
      <alignment horizontal="left" vertical="center" wrapText="1"/>
    </xf>
    <xf numFmtId="0" fontId="12" fillId="5" borderId="28" xfId="2" applyFont="1" applyFill="1" applyBorder="1" applyAlignment="1">
      <alignment horizontal="left" vertical="center" wrapText="1" indent="1"/>
    </xf>
    <xf numFmtId="0" fontId="12" fillId="5" borderId="41" xfId="2" applyFont="1" applyFill="1" applyBorder="1" applyAlignment="1">
      <alignment horizontal="left" vertical="center" wrapText="1" indent="3"/>
    </xf>
    <xf numFmtId="8" fontId="4" fillId="0" borderId="39" xfId="0" applyNumberFormat="1" applyFont="1" applyBorder="1"/>
    <xf numFmtId="8" fontId="4" fillId="0" borderId="54" xfId="0" applyNumberFormat="1" applyFont="1" applyBorder="1"/>
    <xf numFmtId="8" fontId="4" fillId="0" borderId="55" xfId="0" applyNumberFormat="1" applyFont="1" applyBorder="1"/>
    <xf numFmtId="8" fontId="9" fillId="5" borderId="47" xfId="2" applyNumberFormat="1" applyFont="1" applyFill="1" applyBorder="1" applyAlignment="1">
      <alignment horizontal="right" vertical="center"/>
    </xf>
    <xf numFmtId="8" fontId="9" fillId="5" borderId="44" xfId="2" applyNumberFormat="1" applyFont="1" applyFill="1" applyBorder="1" applyAlignment="1">
      <alignment horizontal="right" vertical="center"/>
    </xf>
    <xf numFmtId="8" fontId="9" fillId="5" borderId="48" xfId="2" applyNumberFormat="1" applyFont="1" applyFill="1" applyBorder="1" applyAlignment="1">
      <alignment horizontal="right" vertical="center"/>
    </xf>
    <xf numFmtId="8" fontId="9" fillId="5" borderId="50" xfId="2" applyNumberFormat="1" applyFont="1" applyFill="1" applyBorder="1" applyAlignment="1">
      <alignment horizontal="right" vertical="center"/>
    </xf>
    <xf numFmtId="8" fontId="9" fillId="5" borderId="51" xfId="2" applyNumberFormat="1" applyFont="1" applyFill="1" applyBorder="1" applyAlignment="1">
      <alignment horizontal="right" vertical="center"/>
    </xf>
    <xf numFmtId="8" fontId="9" fillId="5" borderId="52" xfId="2" applyNumberFormat="1" applyFont="1" applyFill="1" applyBorder="1" applyAlignment="1">
      <alignment horizontal="right" vertical="center"/>
    </xf>
    <xf numFmtId="6" fontId="10" fillId="2" borderId="14" xfId="2" applyNumberFormat="1" applyFont="1" applyFill="1" applyBorder="1" applyAlignment="1">
      <alignment horizontal="right" vertical="center"/>
    </xf>
    <xf numFmtId="6" fontId="10" fillId="2" borderId="15" xfId="1" quotePrefix="1" applyNumberFormat="1" applyFont="1" applyFill="1" applyBorder="1" applyAlignment="1">
      <alignment horizontal="right" vertical="center"/>
    </xf>
    <xf numFmtId="6" fontId="10" fillId="2" borderId="15" xfId="1" applyNumberFormat="1" applyFont="1" applyFill="1" applyBorder="1" applyAlignment="1">
      <alignment horizontal="right" vertical="center"/>
    </xf>
    <xf numFmtId="6" fontId="10" fillId="2" borderId="16" xfId="1" applyNumberFormat="1" applyFont="1" applyFill="1" applyBorder="1" applyAlignment="1">
      <alignment horizontal="right" vertical="center"/>
    </xf>
    <xf numFmtId="6" fontId="10" fillId="2" borderId="18" xfId="1" applyNumberFormat="1" applyFont="1" applyFill="1" applyBorder="1" applyAlignment="1">
      <alignment horizontal="right" vertical="center"/>
    </xf>
    <xf numFmtId="0" fontId="7" fillId="2" borderId="13" xfId="2" applyFont="1" applyFill="1" applyBorder="1" applyAlignment="1">
      <alignment horizontal="left" vertical="center" wrapText="1" indent="8"/>
    </xf>
    <xf numFmtId="0" fontId="7" fillId="2" borderId="17" xfId="2" applyFont="1" applyFill="1" applyBorder="1" applyAlignment="1">
      <alignment horizontal="left" vertical="center" wrapText="1" indent="8"/>
    </xf>
    <xf numFmtId="8" fontId="0" fillId="0" borderId="0" xfId="0" applyNumberFormat="1"/>
    <xf numFmtId="6" fontId="0" fillId="0" borderId="0" xfId="0" applyNumberFormat="1"/>
    <xf numFmtId="166" fontId="0" fillId="0" borderId="0" xfId="0" applyNumberFormat="1"/>
    <xf numFmtId="0" fontId="27" fillId="0" borderId="43" xfId="0" applyFont="1" applyBorder="1" applyAlignment="1"/>
    <xf numFmtId="6" fontId="4" fillId="0" borderId="56" xfId="0" applyNumberFormat="1" applyFont="1" applyBorder="1"/>
    <xf numFmtId="0" fontId="7" fillId="2" borderId="53" xfId="2" applyFont="1" applyFill="1" applyBorder="1" applyAlignment="1">
      <alignment horizontal="center" vertical="center" wrapText="1"/>
    </xf>
    <xf numFmtId="0" fontId="7" fillId="2" borderId="58" xfId="2" applyFont="1" applyFill="1" applyBorder="1" applyAlignment="1">
      <alignment horizontal="center" vertical="center" wrapText="1"/>
    </xf>
    <xf numFmtId="0" fontId="7" fillId="2" borderId="60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61" xfId="2" applyFont="1" applyFill="1" applyBorder="1" applyAlignment="1">
      <alignment horizontal="center" vertical="center" wrapText="1"/>
    </xf>
    <xf numFmtId="0" fontId="8" fillId="0" borderId="58" xfId="0" applyFont="1" applyBorder="1"/>
    <xf numFmtId="6" fontId="8" fillId="0" borderId="0" xfId="0" applyNumberFormat="1" applyFont="1" applyBorder="1"/>
    <xf numFmtId="6" fontId="4" fillId="0" borderId="0" xfId="0" applyNumberFormat="1" applyFont="1" applyBorder="1"/>
    <xf numFmtId="0" fontId="8" fillId="0" borderId="62" xfId="0" applyFont="1" applyBorder="1" applyAlignment="1">
      <alignment horizontal="left" indent="3"/>
    </xf>
    <xf numFmtId="6" fontId="4" fillId="0" borderId="63" xfId="0" applyNumberFormat="1" applyFont="1" applyBorder="1"/>
    <xf numFmtId="0" fontId="8" fillId="0" borderId="0" xfId="0" applyFont="1" applyBorder="1"/>
    <xf numFmtId="6" fontId="28" fillId="0" borderId="0" xfId="0" applyNumberFormat="1" applyFont="1"/>
    <xf numFmtId="6" fontId="4" fillId="0" borderId="57" xfId="0" applyNumberFormat="1" applyFont="1" applyBorder="1"/>
    <xf numFmtId="6" fontId="4" fillId="0" borderId="59" xfId="0" applyNumberFormat="1" applyFont="1" applyBorder="1"/>
    <xf numFmtId="6" fontId="4" fillId="0" borderId="64" xfId="0" applyNumberFormat="1" applyFont="1" applyBorder="1"/>
    <xf numFmtId="0" fontId="4" fillId="0" borderId="65" xfId="0" applyFont="1" applyBorder="1"/>
    <xf numFmtId="169" fontId="4" fillId="0" borderId="53" xfId="0" applyNumberFormat="1" applyFont="1" applyBorder="1"/>
    <xf numFmtId="169" fontId="4" fillId="0" borderId="8" xfId="0" applyNumberFormat="1" applyFont="1" applyBorder="1"/>
    <xf numFmtId="0" fontId="12" fillId="6" borderId="1" xfId="2" applyFont="1" applyFill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 applyProtection="1">
      <alignment horizontal="center" vertical="center"/>
      <protection locked="0"/>
    </xf>
    <xf numFmtId="169" fontId="4" fillId="6" borderId="1" xfId="0" applyNumberFormat="1" applyFont="1" applyFill="1" applyBorder="1" applyProtection="1">
      <protection locked="0"/>
    </xf>
    <xf numFmtId="6" fontId="9" fillId="6" borderId="19" xfId="2" applyNumberFormat="1" applyFont="1" applyFill="1" applyBorder="1" applyAlignment="1" applyProtection="1">
      <alignment horizontal="left" vertical="center"/>
      <protection locked="0"/>
    </xf>
    <xf numFmtId="6" fontId="9" fillId="6" borderId="40" xfId="2" applyNumberFormat="1" applyFont="1" applyFill="1" applyBorder="1" applyAlignment="1" applyProtection="1">
      <alignment horizontal="left" vertical="center"/>
      <protection locked="0"/>
    </xf>
    <xf numFmtId="6" fontId="9" fillId="6" borderId="42" xfId="2" applyNumberFormat="1" applyFont="1" applyFill="1" applyBorder="1" applyAlignment="1" applyProtection="1">
      <alignment horizontal="left" vertical="center"/>
      <protection locked="0"/>
    </xf>
    <xf numFmtId="167" fontId="8" fillId="6" borderId="14" xfId="2" applyNumberFormat="1" applyFont="1" applyFill="1" applyBorder="1" applyAlignment="1" applyProtection="1">
      <alignment horizontal="right" vertical="center"/>
      <protection locked="0"/>
    </xf>
    <xf numFmtId="167" fontId="8" fillId="6" borderId="15" xfId="2" applyNumberFormat="1" applyFont="1" applyFill="1" applyBorder="1" applyAlignment="1" applyProtection="1">
      <alignment horizontal="right" vertical="center"/>
      <protection locked="0"/>
    </xf>
    <xf numFmtId="167" fontId="8" fillId="6" borderId="16" xfId="2" applyNumberFormat="1" applyFont="1" applyFill="1" applyBorder="1" applyAlignment="1" applyProtection="1">
      <alignment horizontal="right" vertical="center"/>
      <protection locked="0"/>
    </xf>
    <xf numFmtId="0" fontId="13" fillId="7" borderId="62" xfId="0" applyFont="1" applyFill="1" applyBorder="1"/>
    <xf numFmtId="6" fontId="13" fillId="7" borderId="62" xfId="0" applyNumberFormat="1" applyFont="1" applyFill="1" applyBorder="1"/>
    <xf numFmtId="6" fontId="13" fillId="7" borderId="63" xfId="0" applyNumberFormat="1" applyFont="1" applyFill="1" applyBorder="1"/>
    <xf numFmtId="6" fontId="13" fillId="7" borderId="64" xfId="0" applyNumberFormat="1" applyFont="1" applyFill="1" applyBorder="1"/>
    <xf numFmtId="0" fontId="13" fillId="0" borderId="0" xfId="0" applyFont="1" applyFill="1" applyBorder="1"/>
    <xf numFmtId="6" fontId="13" fillId="0" borderId="0" xfId="0" applyNumberFormat="1" applyFont="1" applyFill="1" applyBorder="1"/>
    <xf numFmtId="0" fontId="21" fillId="0" borderId="0" xfId="0" applyFont="1" applyFill="1" applyBorder="1"/>
    <xf numFmtId="6" fontId="13" fillId="0" borderId="63" xfId="0" applyNumberFormat="1" applyFont="1" applyFill="1" applyBorder="1" applyAlignment="1">
      <alignment horizontal="center"/>
    </xf>
    <xf numFmtId="6" fontId="13" fillId="0" borderId="64" xfId="0" applyNumberFormat="1" applyFont="1" applyFill="1" applyBorder="1" applyAlignment="1">
      <alignment horizontal="center"/>
    </xf>
    <xf numFmtId="0" fontId="4" fillId="0" borderId="15" xfId="0" applyFont="1" applyFill="1" applyBorder="1"/>
    <xf numFmtId="6" fontId="13" fillId="0" borderId="15" xfId="0" applyNumberFormat="1" applyFont="1" applyFill="1" applyBorder="1" applyAlignment="1">
      <alignment horizontal="right"/>
    </xf>
    <xf numFmtId="6" fontId="13" fillId="0" borderId="51" xfId="0" applyNumberFormat="1" applyFont="1" applyFill="1" applyBorder="1" applyAlignment="1">
      <alignment horizontal="right"/>
    </xf>
    <xf numFmtId="0" fontId="7" fillId="2" borderId="5" xfId="2" applyFont="1" applyFill="1" applyBorder="1" applyAlignment="1"/>
    <xf numFmtId="0" fontId="22" fillId="2" borderId="17" xfId="2" applyFont="1" applyFill="1" applyBorder="1" applyAlignment="1"/>
    <xf numFmtId="0" fontId="7" fillId="2" borderId="28" xfId="2" applyFont="1" applyFill="1" applyBorder="1" applyAlignment="1">
      <alignment horizontal="left" indent="2"/>
    </xf>
    <xf numFmtId="0" fontId="7" fillId="2" borderId="41" xfId="2" applyFont="1" applyFill="1" applyBorder="1" applyAlignment="1">
      <alignment horizontal="left" indent="2"/>
    </xf>
    <xf numFmtId="0" fontId="7" fillId="2" borderId="67" xfId="2" applyFont="1" applyFill="1" applyBorder="1" applyAlignment="1">
      <alignment horizontal="left" indent="2"/>
    </xf>
    <xf numFmtId="8" fontId="4" fillId="0" borderId="68" xfId="0" applyNumberFormat="1" applyFont="1" applyBorder="1"/>
    <xf numFmtId="8" fontId="4" fillId="0" borderId="69" xfId="0" applyNumberFormat="1" applyFont="1" applyBorder="1"/>
    <xf numFmtId="0" fontId="21" fillId="0" borderId="70" xfId="0" applyFont="1" applyBorder="1"/>
    <xf numFmtId="0" fontId="4" fillId="0" borderId="70" xfId="0" applyFont="1" applyBorder="1"/>
    <xf numFmtId="0" fontId="21" fillId="0" borderId="40" xfId="0" applyFont="1" applyBorder="1"/>
    <xf numFmtId="0" fontId="4" fillId="0" borderId="40" xfId="0" applyFont="1" applyBorder="1"/>
    <xf numFmtId="8" fontId="21" fillId="0" borderId="70" xfId="0" applyNumberFormat="1" applyFont="1" applyBorder="1" applyAlignment="1">
      <alignment horizontal="center"/>
    </xf>
    <xf numFmtId="6" fontId="31" fillId="6" borderId="19" xfId="2" applyNumberFormat="1" applyFont="1" applyFill="1" applyBorder="1" applyAlignment="1" applyProtection="1">
      <alignment horizontal="left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165" fontId="8" fillId="6" borderId="6" xfId="2" applyNumberFormat="1" applyFont="1" applyFill="1" applyBorder="1" applyAlignment="1" applyProtection="1">
      <alignment horizontal="right" vertical="center"/>
      <protection locked="0"/>
    </xf>
    <xf numFmtId="165" fontId="8" fillId="6" borderId="7" xfId="2" applyNumberFormat="1" applyFont="1" applyFill="1" applyBorder="1" applyAlignment="1" applyProtection="1">
      <alignment horizontal="right" vertical="center"/>
      <protection locked="0"/>
    </xf>
    <xf numFmtId="165" fontId="8" fillId="6" borderId="8" xfId="2" applyNumberFormat="1" applyFont="1" applyFill="1" applyBorder="1" applyAlignment="1" applyProtection="1">
      <alignment horizontal="right" vertical="center"/>
      <protection locked="0"/>
    </xf>
    <xf numFmtId="168" fontId="8" fillId="6" borderId="47" xfId="2" applyNumberFormat="1" applyFont="1" applyFill="1" applyBorder="1" applyAlignment="1" applyProtection="1">
      <alignment horizontal="right" vertical="center"/>
      <protection locked="0"/>
    </xf>
    <xf numFmtId="168" fontId="8" fillId="6" borderId="38" xfId="2" applyNumberFormat="1" applyFont="1" applyFill="1" applyBorder="1" applyAlignment="1" applyProtection="1">
      <alignment horizontal="right" vertical="center"/>
      <protection locked="0"/>
    </xf>
    <xf numFmtId="168" fontId="8" fillId="6" borderId="39" xfId="2" applyNumberFormat="1" applyFont="1" applyFill="1" applyBorder="1" applyAlignment="1" applyProtection="1">
      <alignment horizontal="right" vertical="center"/>
      <protection locked="0"/>
    </xf>
    <xf numFmtId="9" fontId="4" fillId="0" borderId="0" xfId="3" applyFont="1" applyBorder="1"/>
    <xf numFmtId="8" fontId="13" fillId="0" borderId="63" xfId="0" applyNumberFormat="1" applyFont="1" applyFill="1" applyBorder="1"/>
    <xf numFmtId="8" fontId="13" fillId="0" borderId="64" xfId="0" applyNumberFormat="1" applyFont="1" applyFill="1" applyBorder="1"/>
    <xf numFmtId="8" fontId="13" fillId="0" borderId="20" xfId="0" applyNumberFormat="1" applyFont="1" applyFill="1" applyBorder="1"/>
    <xf numFmtId="8" fontId="13" fillId="0" borderId="66" xfId="0" applyNumberFormat="1" applyFont="1" applyFill="1" applyBorder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6"/>
  <sheetViews>
    <sheetView tabSelected="1" zoomScaleNormal="100" workbookViewId="0">
      <pane ySplit="5" topLeftCell="A6" activePane="bottomLeft" state="frozen"/>
      <selection pane="bottomLeft" activeCell="F20" sqref="F20"/>
    </sheetView>
  </sheetViews>
  <sheetFormatPr defaultRowHeight="12" x14ac:dyDescent="0.2"/>
  <cols>
    <col min="1" max="1" width="2.1640625" style="3" customWidth="1"/>
    <col min="2" max="2" width="16.83203125" style="3" customWidth="1"/>
    <col min="3" max="3" width="46.1640625" style="3" customWidth="1"/>
    <col min="4" max="4" width="16" style="3" customWidth="1"/>
    <col min="5" max="5" width="13.83203125" style="3" customWidth="1"/>
    <col min="6" max="6" width="15.5" style="3" customWidth="1"/>
    <col min="7" max="7" width="13.83203125" style="3" customWidth="1"/>
    <col min="8" max="8" width="14.1640625" style="3" customWidth="1"/>
    <col min="9" max="13" width="13.83203125" style="3" customWidth="1"/>
    <col min="14" max="14" width="11.83203125" style="3" bestFit="1" customWidth="1"/>
    <col min="15" max="15" width="10.5" style="3" bestFit="1" customWidth="1"/>
    <col min="16" max="16384" width="9.33203125" style="3"/>
  </cols>
  <sheetData>
    <row r="1" spans="2:13" ht="15.75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 x14ac:dyDescent="0.2">
      <c r="B2" s="1" t="s">
        <v>42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 thickBot="1" x14ac:dyDescent="0.25">
      <c r="B3" s="68"/>
      <c r="J3" s="4">
        <f ca="1">NOW()</f>
        <v>43227.30220972222</v>
      </c>
    </row>
    <row r="4" spans="2:13" ht="13.5" thickBot="1" x14ac:dyDescent="0.25">
      <c r="C4" s="66" t="s">
        <v>29</v>
      </c>
      <c r="D4" s="151"/>
      <c r="E4" s="122"/>
      <c r="F4" s="122"/>
      <c r="G4" s="122"/>
      <c r="H4" s="122"/>
      <c r="I4" s="122"/>
      <c r="J4" s="123"/>
      <c r="M4" s="4"/>
    </row>
    <row r="5" spans="2:13" ht="13.5" thickBot="1" x14ac:dyDescent="0.25">
      <c r="C5" s="66" t="s">
        <v>30</v>
      </c>
      <c r="D5" s="121"/>
      <c r="E5" s="122"/>
      <c r="F5" s="122"/>
      <c r="G5" s="122"/>
      <c r="H5" s="122"/>
      <c r="I5" s="122"/>
      <c r="J5" s="123"/>
      <c r="M5" s="4"/>
    </row>
    <row r="6" spans="2:13" ht="12.75" x14ac:dyDescent="0.2">
      <c r="E6" s="64"/>
      <c r="F6" s="64"/>
      <c r="M6" s="4"/>
    </row>
    <row r="7" spans="2:13" ht="12.75" thickBot="1" x14ac:dyDescent="0.25">
      <c r="E7" s="65"/>
      <c r="F7"/>
      <c r="G7"/>
      <c r="H7"/>
      <c r="I7"/>
      <c r="M7" s="4"/>
    </row>
    <row r="8" spans="2:13" ht="13.5" thickBot="1" x14ac:dyDescent="0.25">
      <c r="C8" s="66" t="s">
        <v>31</v>
      </c>
      <c r="D8" s="118">
        <v>12</v>
      </c>
      <c r="E8" s="65"/>
      <c r="F8"/>
      <c r="G8"/>
      <c r="H8"/>
      <c r="I8"/>
      <c r="M8" s="4"/>
    </row>
    <row r="9" spans="2:13" ht="13.5" thickBot="1" x14ac:dyDescent="0.25">
      <c r="C9" s="66" t="s">
        <v>32</v>
      </c>
      <c r="D9" s="119">
        <v>30</v>
      </c>
      <c r="E9"/>
      <c r="F9"/>
      <c r="G9"/>
      <c r="H9"/>
      <c r="I9"/>
      <c r="M9" s="4"/>
    </row>
    <row r="10" spans="2:13" ht="13.5" thickBot="1" x14ac:dyDescent="0.25">
      <c r="B10" s="68"/>
      <c r="C10" s="67" t="s">
        <v>1</v>
      </c>
      <c r="D10" s="119" t="s">
        <v>5</v>
      </c>
      <c r="F10"/>
      <c r="G10"/>
      <c r="H10"/>
      <c r="I10"/>
      <c r="M10" s="4"/>
    </row>
    <row r="11" spans="2:13" ht="13.5" thickBot="1" x14ac:dyDescent="0.25">
      <c r="C11" s="67" t="s">
        <v>52</v>
      </c>
      <c r="D11" s="120">
        <v>0.5</v>
      </c>
      <c r="F11"/>
      <c r="G11"/>
      <c r="H11"/>
      <c r="I11"/>
      <c r="M11" s="4"/>
    </row>
    <row r="12" spans="2:13" x14ac:dyDescent="0.2">
      <c r="M12" s="4"/>
    </row>
    <row r="13" spans="2:13" ht="12.75" thickBot="1" x14ac:dyDescent="0.25">
      <c r="M13" s="4"/>
    </row>
    <row r="14" spans="2:13" ht="12.75" thickBot="1" x14ac:dyDescent="0.25">
      <c r="B14" s="5" t="s">
        <v>1</v>
      </c>
      <c r="D14" s="152" t="s">
        <v>57</v>
      </c>
      <c r="E14" s="153" t="s">
        <v>53</v>
      </c>
      <c r="F14" s="153" t="s">
        <v>54</v>
      </c>
      <c r="G14" s="153" t="s">
        <v>55</v>
      </c>
      <c r="H14" s="154" t="s">
        <v>56</v>
      </c>
      <c r="I14"/>
      <c r="J14"/>
      <c r="K14"/>
      <c r="L14"/>
      <c r="M14"/>
    </row>
    <row r="15" spans="2:13" ht="12.75" x14ac:dyDescent="0.2">
      <c r="B15" s="6" t="str">
        <f>D10</f>
        <v>Graduate</v>
      </c>
      <c r="C15" s="69" t="s">
        <v>3</v>
      </c>
      <c r="D15" s="155">
        <f>D8</f>
        <v>12</v>
      </c>
      <c r="E15" s="156">
        <f>D15</f>
        <v>12</v>
      </c>
      <c r="F15" s="156">
        <f t="shared" ref="F15:H15" si="0">E15</f>
        <v>12</v>
      </c>
      <c r="G15" s="156">
        <f t="shared" si="0"/>
        <v>12</v>
      </c>
      <c r="H15" s="157">
        <f t="shared" si="0"/>
        <v>12</v>
      </c>
      <c r="I15"/>
      <c r="J15"/>
      <c r="K15"/>
      <c r="L15"/>
      <c r="M15"/>
    </row>
    <row r="16" spans="2:13" ht="12.75" x14ac:dyDescent="0.2">
      <c r="B16" s="6"/>
      <c r="C16" s="70" t="s">
        <v>36</v>
      </c>
      <c r="D16" s="124">
        <v>50</v>
      </c>
      <c r="E16" s="125">
        <v>100</v>
      </c>
      <c r="F16" s="125">
        <f t="shared" ref="F16:H17" si="1">E16</f>
        <v>100</v>
      </c>
      <c r="G16" s="125">
        <f t="shared" si="1"/>
        <v>100</v>
      </c>
      <c r="H16" s="126">
        <f t="shared" si="1"/>
        <v>100</v>
      </c>
      <c r="I16"/>
      <c r="J16"/>
      <c r="K16"/>
      <c r="L16"/>
      <c r="M16"/>
    </row>
    <row r="17" spans="2:13" ht="13.5" thickBot="1" x14ac:dyDescent="0.25">
      <c r="B17" s="6"/>
      <c r="C17" s="71" t="s">
        <v>37</v>
      </c>
      <c r="D17" s="158">
        <v>30</v>
      </c>
      <c r="E17" s="159">
        <v>30</v>
      </c>
      <c r="F17" s="159">
        <f t="shared" si="1"/>
        <v>30</v>
      </c>
      <c r="G17" s="159">
        <f t="shared" si="1"/>
        <v>30</v>
      </c>
      <c r="H17" s="160">
        <f t="shared" si="1"/>
        <v>30</v>
      </c>
      <c r="I17"/>
      <c r="J17"/>
      <c r="K17"/>
      <c r="L17"/>
      <c r="M17"/>
    </row>
    <row r="18" spans="2:13" ht="13.5" thickBot="1" x14ac:dyDescent="0.25">
      <c r="C18" s="72" t="s">
        <v>4</v>
      </c>
      <c r="D18" s="73">
        <f>D16*D17</f>
        <v>1500</v>
      </c>
      <c r="E18" s="74">
        <f>AVERAGE((D16*D17),(E16*E17))</f>
        <v>2250</v>
      </c>
      <c r="F18" s="74">
        <f t="shared" ref="F18:H18" si="2">AVERAGE((E16*E17),(F16*F17))</f>
        <v>3000</v>
      </c>
      <c r="G18" s="74">
        <f t="shared" si="2"/>
        <v>3000</v>
      </c>
      <c r="H18" s="75">
        <f t="shared" si="2"/>
        <v>3000</v>
      </c>
      <c r="I18" s="97"/>
      <c r="J18" s="97"/>
      <c r="K18"/>
      <c r="L18"/>
      <c r="M18"/>
    </row>
    <row r="19" spans="2:13" ht="12.75" x14ac:dyDescent="0.2">
      <c r="C19" s="76" t="s">
        <v>18</v>
      </c>
      <c r="D19" s="82"/>
      <c r="E19" s="83"/>
      <c r="F19" s="83"/>
      <c r="G19" s="83"/>
      <c r="H19" s="84"/>
      <c r="I19"/>
      <c r="J19"/>
      <c r="K19"/>
      <c r="L19"/>
      <c r="M19"/>
    </row>
    <row r="20" spans="2:13" ht="12.75" x14ac:dyDescent="0.2">
      <c r="C20" s="78" t="s">
        <v>40</v>
      </c>
      <c r="D20" s="85"/>
      <c r="E20" s="86">
        <f>IF($B$15="Graduate",E66,E62)</f>
        <v>1025.5492082160708</v>
      </c>
      <c r="F20" s="86">
        <f>IF($B$15="Graduate",F66,F62)</f>
        <v>1025.5492082160708</v>
      </c>
      <c r="G20" s="86">
        <f>IF($B$15="Graduate",G66,G62)</f>
        <v>1025.5492082160708</v>
      </c>
      <c r="H20" s="87">
        <f>IF($B$15="Graduate",H66,H62)</f>
        <v>1025.5492082160708</v>
      </c>
      <c r="I20"/>
      <c r="J20"/>
      <c r="K20"/>
      <c r="L20"/>
      <c r="M20"/>
    </row>
    <row r="21" spans="2:13" ht="12.75" x14ac:dyDescent="0.2">
      <c r="C21" s="77" t="s">
        <v>20</v>
      </c>
      <c r="D21" s="82"/>
      <c r="E21" s="83">
        <f t="shared" ref="E21:H21" si="3">IF($B$15="Graduate",E68,E64)</f>
        <v>399.54426940857559</v>
      </c>
      <c r="F21" s="83">
        <f t="shared" si="3"/>
        <v>399.54426940857559</v>
      </c>
      <c r="G21" s="83">
        <f t="shared" si="3"/>
        <v>399.54426940857559</v>
      </c>
      <c r="H21" s="84">
        <f t="shared" si="3"/>
        <v>399.54426940857559</v>
      </c>
      <c r="I21"/>
      <c r="J21"/>
      <c r="K21"/>
      <c r="L21"/>
      <c r="M21"/>
    </row>
    <row r="22" spans="2:13" ht="12.75" x14ac:dyDescent="0.2">
      <c r="C22" s="93" t="s">
        <v>33</v>
      </c>
      <c r="D22" s="88"/>
      <c r="E22" s="89">
        <f>ROUND(D18/2*E20,-1)</f>
        <v>769160</v>
      </c>
      <c r="F22" s="90">
        <f>ROUND((D18+E18)/2*F20,-1)</f>
        <v>1922900</v>
      </c>
      <c r="G22" s="90">
        <f t="shared" ref="G22:H22" si="4">ROUND((E18+F18)/2*G20,-1)</f>
        <v>2692070</v>
      </c>
      <c r="H22" s="91">
        <f t="shared" si="4"/>
        <v>3076650</v>
      </c>
      <c r="I22"/>
      <c r="J22"/>
      <c r="K22"/>
      <c r="L22"/>
      <c r="M22"/>
    </row>
    <row r="23" spans="2:13" ht="13.5" thickBot="1" x14ac:dyDescent="0.25">
      <c r="C23" s="94" t="s">
        <v>34</v>
      </c>
      <c r="D23" s="92"/>
      <c r="E23" s="90">
        <f>ROUND((D18/2)*$D$11*E21,-1)</f>
        <v>149830</v>
      </c>
      <c r="F23" s="90">
        <f>ROUND(((D18+E18)/2)*$D$11*F21,-1)</f>
        <v>374570</v>
      </c>
      <c r="G23" s="90">
        <f>ROUND(((E18+F18)/2)*$D$11*G21,-1)</f>
        <v>524400</v>
      </c>
      <c r="H23" s="91">
        <f>ROUND(((F18+G18)/2)*$D$11*H21,-1)</f>
        <v>599320</v>
      </c>
      <c r="I23" s="95"/>
      <c r="J23"/>
      <c r="K23"/>
      <c r="L23"/>
      <c r="M23"/>
    </row>
    <row r="24" spans="2:13" ht="12.75" thickBot="1" x14ac:dyDescent="0.25">
      <c r="C24" s="13" t="s">
        <v>35</v>
      </c>
      <c r="D24" s="14">
        <f t="shared" ref="D24" si="5">SUM(D22:D23)</f>
        <v>0</v>
      </c>
      <c r="E24" s="15">
        <f t="shared" ref="E24:H24" si="6">SUM(E22:E23)</f>
        <v>918990</v>
      </c>
      <c r="F24" s="15">
        <f t="shared" si="6"/>
        <v>2297470</v>
      </c>
      <c r="G24" s="15">
        <f t="shared" si="6"/>
        <v>3216470</v>
      </c>
      <c r="H24" s="16">
        <f t="shared" si="6"/>
        <v>3675970</v>
      </c>
      <c r="I24" s="96"/>
      <c r="J24"/>
      <c r="K24"/>
      <c r="L24"/>
      <c r="M24"/>
    </row>
    <row r="25" spans="2:13" s="7" customFormat="1" ht="12.75" thickBot="1" x14ac:dyDescent="0.25">
      <c r="C25" s="8"/>
      <c r="D25" s="9"/>
      <c r="E25" s="9"/>
      <c r="F25" s="10"/>
      <c r="G25" s="10"/>
      <c r="H25" s="10"/>
      <c r="I25"/>
      <c r="J25"/>
      <c r="K25"/>
      <c r="L25"/>
      <c r="M25"/>
    </row>
    <row r="26" spans="2:13" s="17" customFormat="1" ht="12.75" thickBot="1" x14ac:dyDescent="0.25">
      <c r="C26" s="18" t="s">
        <v>6</v>
      </c>
      <c r="D26" s="19">
        <f>D24</f>
        <v>0</v>
      </c>
      <c r="E26" s="20">
        <f>E24-D24</f>
        <v>918990</v>
      </c>
      <c r="F26" s="20">
        <f t="shared" ref="F26:H26" si="7">F24-E24</f>
        <v>1378480</v>
      </c>
      <c r="G26" s="20">
        <f t="shared" si="7"/>
        <v>919000</v>
      </c>
      <c r="H26" s="21">
        <f t="shared" si="7"/>
        <v>459500</v>
      </c>
      <c r="I26"/>
      <c r="J26"/>
      <c r="K26"/>
      <c r="L26"/>
      <c r="M26"/>
    </row>
    <row r="27" spans="2:13" s="7" customFormat="1" ht="12.75" thickBot="1" x14ac:dyDescent="0.25">
      <c r="C27" s="8"/>
      <c r="D27" s="9"/>
      <c r="E27" s="9"/>
      <c r="F27" s="10"/>
      <c r="G27" s="10"/>
      <c r="H27" s="10"/>
      <c r="I27"/>
      <c r="J27"/>
      <c r="K27"/>
      <c r="L27"/>
      <c r="M27"/>
    </row>
    <row r="28" spans="2:13" s="7" customFormat="1" x14ac:dyDescent="0.2">
      <c r="C28" s="22" t="s">
        <v>7</v>
      </c>
      <c r="D28" s="23">
        <v>0.24</v>
      </c>
      <c r="E28" s="24">
        <v>0.24</v>
      </c>
      <c r="F28" s="24">
        <v>0.24</v>
      </c>
      <c r="G28" s="24">
        <v>0.24</v>
      </c>
      <c r="H28" s="25">
        <v>0.24</v>
      </c>
      <c r="I28"/>
      <c r="J28"/>
      <c r="K28"/>
      <c r="L28"/>
      <c r="M28"/>
    </row>
    <row r="29" spans="2:13" ht="12.75" x14ac:dyDescent="0.2">
      <c r="C29" s="26" t="s">
        <v>8</v>
      </c>
      <c r="D29" s="27">
        <f t="shared" ref="D29:H29" si="8">ROUND(D26*D28,-1)</f>
        <v>0</v>
      </c>
      <c r="E29" s="28">
        <f t="shared" si="8"/>
        <v>220560</v>
      </c>
      <c r="F29" s="29">
        <f t="shared" si="8"/>
        <v>330840</v>
      </c>
      <c r="G29" s="28">
        <f t="shared" si="8"/>
        <v>220560</v>
      </c>
      <c r="H29" s="30">
        <f t="shared" si="8"/>
        <v>110280</v>
      </c>
      <c r="I29"/>
      <c r="J29"/>
      <c r="K29"/>
      <c r="L29"/>
      <c r="M29"/>
    </row>
    <row r="30" spans="2:13" ht="13.5" thickBot="1" x14ac:dyDescent="0.25">
      <c r="C30" s="31" t="s">
        <v>9</v>
      </c>
      <c r="D30" s="32">
        <f>D29</f>
        <v>0</v>
      </c>
      <c r="E30" s="33">
        <f t="shared" ref="E30:H30" si="9">E29+D30</f>
        <v>220560</v>
      </c>
      <c r="F30" s="34">
        <f t="shared" si="9"/>
        <v>551400</v>
      </c>
      <c r="G30" s="33">
        <f>G29+F30</f>
        <v>771960</v>
      </c>
      <c r="H30" s="35">
        <f t="shared" si="9"/>
        <v>882240</v>
      </c>
      <c r="I30"/>
      <c r="J30"/>
      <c r="K30"/>
      <c r="L30"/>
      <c r="M30"/>
    </row>
    <row r="31" spans="2:13" ht="13.5" thickBot="1" x14ac:dyDescent="0.25">
      <c r="C31" s="36" t="s">
        <v>10</v>
      </c>
      <c r="D31" s="37">
        <f t="shared" ref="D31:H31" si="10">D26-D29</f>
        <v>0</v>
      </c>
      <c r="E31" s="38">
        <f t="shared" si="10"/>
        <v>698430</v>
      </c>
      <c r="F31" s="38">
        <f t="shared" si="10"/>
        <v>1047640</v>
      </c>
      <c r="G31" s="38">
        <f t="shared" si="10"/>
        <v>698440</v>
      </c>
      <c r="H31" s="39">
        <f t="shared" si="10"/>
        <v>349220</v>
      </c>
      <c r="I31" s="96"/>
      <c r="J31"/>
      <c r="K31"/>
      <c r="L31"/>
      <c r="M31"/>
    </row>
    <row r="32" spans="2:13" s="7" customFormat="1" ht="12.75" thickBot="1" x14ac:dyDescent="0.25">
      <c r="C32" s="17"/>
      <c r="D32" s="9"/>
      <c r="E32" s="9"/>
      <c r="F32" s="10"/>
      <c r="G32" s="10"/>
      <c r="H32" s="10"/>
      <c r="I32"/>
      <c r="J32"/>
      <c r="K32"/>
      <c r="L32"/>
      <c r="M32"/>
    </row>
    <row r="33" spans="2:13" ht="12.75" x14ac:dyDescent="0.2">
      <c r="C33" s="40" t="s">
        <v>11</v>
      </c>
      <c r="D33" s="41">
        <v>0.7</v>
      </c>
      <c r="E33" s="42">
        <v>0.7</v>
      </c>
      <c r="F33" s="42">
        <v>0.8</v>
      </c>
      <c r="G33" s="42">
        <v>0.8</v>
      </c>
      <c r="H33" s="43">
        <v>0.8</v>
      </c>
      <c r="I33"/>
      <c r="J33"/>
      <c r="K33"/>
      <c r="L33"/>
      <c r="M33"/>
    </row>
    <row r="34" spans="2:13" ht="12.75" x14ac:dyDescent="0.2">
      <c r="C34" s="44" t="s">
        <v>12</v>
      </c>
      <c r="D34" s="45">
        <f>ROUNDDOWN(D31*D33,-1)</f>
        <v>0</v>
      </c>
      <c r="E34" s="46">
        <f t="shared" ref="E34:H34" si="11">ROUND((E31*E33),-1)</f>
        <v>488900</v>
      </c>
      <c r="F34" s="46">
        <f t="shared" si="11"/>
        <v>838110</v>
      </c>
      <c r="G34" s="46">
        <f t="shared" si="11"/>
        <v>558750</v>
      </c>
      <c r="H34" s="47">
        <f t="shared" si="11"/>
        <v>279380</v>
      </c>
      <c r="I34"/>
      <c r="J34"/>
      <c r="K34"/>
      <c r="L34"/>
      <c r="M34"/>
    </row>
    <row r="35" spans="2:13" ht="13.5" thickBot="1" x14ac:dyDescent="0.25">
      <c r="C35" s="48" t="s">
        <v>13</v>
      </c>
      <c r="D35" s="49">
        <f>+D34</f>
        <v>0</v>
      </c>
      <c r="E35" s="50">
        <f>+E34+D35</f>
        <v>488900</v>
      </c>
      <c r="F35" s="50">
        <f>+F34+E35</f>
        <v>1327010</v>
      </c>
      <c r="G35" s="50">
        <f>+G34+F35</f>
        <v>1885760</v>
      </c>
      <c r="H35" s="51">
        <f t="shared" ref="H35" si="12">+H34+G35</f>
        <v>2165140</v>
      </c>
      <c r="I35" s="96"/>
      <c r="J35"/>
      <c r="K35"/>
      <c r="L35"/>
      <c r="M35"/>
    </row>
    <row r="36" spans="2:13" s="7" customFormat="1" ht="12.75" thickBot="1" x14ac:dyDescent="0.25">
      <c r="C36" s="52"/>
      <c r="D36" s="11"/>
      <c r="E36" s="11"/>
      <c r="F36" s="12"/>
      <c r="G36" s="12"/>
      <c r="H36" s="12"/>
      <c r="I36"/>
      <c r="J36"/>
      <c r="K36"/>
      <c r="L36"/>
      <c r="M36"/>
    </row>
    <row r="37" spans="2:13" ht="13.5" thickBot="1" x14ac:dyDescent="0.25">
      <c r="C37" s="40" t="s">
        <v>14</v>
      </c>
      <c r="D37" s="41">
        <f t="shared" ref="D37:H37" si="13">1-D33</f>
        <v>0.30000000000000004</v>
      </c>
      <c r="E37" s="42">
        <f t="shared" si="13"/>
        <v>0.30000000000000004</v>
      </c>
      <c r="F37" s="42">
        <f t="shared" si="13"/>
        <v>0.19999999999999996</v>
      </c>
      <c r="G37" s="42">
        <f t="shared" si="13"/>
        <v>0.19999999999999996</v>
      </c>
      <c r="H37" s="43">
        <f t="shared" si="13"/>
        <v>0.19999999999999996</v>
      </c>
      <c r="I37"/>
      <c r="J37"/>
      <c r="K37"/>
      <c r="L37"/>
      <c r="M37"/>
    </row>
    <row r="38" spans="2:13" ht="12.75" thickBot="1" x14ac:dyDescent="0.25">
      <c r="C38" s="18" t="s">
        <v>15</v>
      </c>
      <c r="D38" s="19">
        <f>ROUNDDOWN(D31*D37,-1)</f>
        <v>0</v>
      </c>
      <c r="E38" s="20">
        <f t="shared" ref="E38:H38" si="14">ROUNDDOWN(E31*E37,-1)</f>
        <v>209520</v>
      </c>
      <c r="F38" s="20">
        <f t="shared" si="14"/>
        <v>209520</v>
      </c>
      <c r="G38" s="20">
        <f t="shared" si="14"/>
        <v>139680</v>
      </c>
      <c r="H38" s="21">
        <f t="shared" si="14"/>
        <v>69840</v>
      </c>
      <c r="I38"/>
      <c r="J38"/>
      <c r="K38"/>
      <c r="L38"/>
      <c r="M38"/>
    </row>
    <row r="39" spans="2:13" ht="12.75" thickBot="1" x14ac:dyDescent="0.25">
      <c r="C39" s="18" t="s">
        <v>16</v>
      </c>
      <c r="D39" s="19">
        <f>ROUNDUP(D31*D37,-1)</f>
        <v>0</v>
      </c>
      <c r="E39" s="20">
        <f>+E38+D39</f>
        <v>209520</v>
      </c>
      <c r="F39" s="20">
        <f t="shared" ref="F39:H39" si="15">+F38+E39</f>
        <v>419040</v>
      </c>
      <c r="G39" s="20">
        <f>+G38+F39</f>
        <v>558720</v>
      </c>
      <c r="H39" s="21">
        <f t="shared" si="15"/>
        <v>628560</v>
      </c>
      <c r="I39" s="96"/>
      <c r="J39"/>
      <c r="K39"/>
      <c r="L39"/>
      <c r="M39"/>
    </row>
    <row r="40" spans="2:13" x14ac:dyDescent="0.2">
      <c r="D40" s="53"/>
      <c r="E40" s="53"/>
      <c r="F40" s="53"/>
      <c r="G40" s="53"/>
      <c r="H40" s="53"/>
      <c r="I40"/>
      <c r="J40"/>
      <c r="K40"/>
      <c r="L40"/>
      <c r="M40"/>
    </row>
    <row r="41" spans="2:13" x14ac:dyDescent="0.2">
      <c r="B41" s="111" t="s">
        <v>58</v>
      </c>
      <c r="C41" s="98" t="s">
        <v>39</v>
      </c>
      <c r="D41" s="99"/>
      <c r="E41" s="99"/>
      <c r="F41" s="99"/>
      <c r="G41" s="99"/>
      <c r="H41" s="112"/>
      <c r="I41" s="96"/>
      <c r="J41"/>
      <c r="K41"/>
      <c r="L41"/>
      <c r="M41"/>
    </row>
    <row r="42" spans="2:13" x14ac:dyDescent="0.2">
      <c r="B42" s="111">
        <v>118.12</v>
      </c>
      <c r="C42" s="105" t="s">
        <v>59</v>
      </c>
      <c r="D42" s="106"/>
      <c r="E42" s="107">
        <f>IF($B$15="Graduate",0,ROUND((D18)/2*$B$42,-1))</f>
        <v>0</v>
      </c>
      <c r="F42" s="107">
        <f>IF($B$15="Graduate",0,ROUND((D18+E18)/2*$B$42,-1))</f>
        <v>0</v>
      </c>
      <c r="G42" s="107">
        <f>IF($B$15="Graduate",0,ROUND((E18+F18)/2*$B$42,-1))</f>
        <v>0</v>
      </c>
      <c r="H42" s="113">
        <f>IF($B$15="Graduate",0,ROUND((F18+G18)/2*$B$42,-1))</f>
        <v>0</v>
      </c>
    </row>
    <row r="43" spans="2:13" x14ac:dyDescent="0.2">
      <c r="B43" s="111">
        <v>492.26</v>
      </c>
      <c r="C43" s="105" t="s">
        <v>60</v>
      </c>
      <c r="D43" s="106"/>
      <c r="E43" s="107">
        <f>IF($B$15="Graduate",ROUND((D18)/2*$B$43,-1),0)</f>
        <v>369200</v>
      </c>
      <c r="F43" s="107">
        <f>IF($B$15="Graduate",ROUND((D18+E18)/2*$B$43,-1),0)</f>
        <v>922990</v>
      </c>
      <c r="G43" s="107">
        <f>IF($B$15="Graduate",ROUND((E18+F18)/2*$B$43,-1),0)</f>
        <v>1292180</v>
      </c>
      <c r="H43" s="113">
        <f>IF($B$15="Graduate",ROUND((F18+G18)/2*$B$43,-1),0)</f>
        <v>1476780</v>
      </c>
    </row>
    <row r="44" spans="2:13" x14ac:dyDescent="0.2">
      <c r="B44" s="111">
        <v>4.3600000000000003</v>
      </c>
      <c r="C44" s="105" t="s">
        <v>61</v>
      </c>
      <c r="D44" s="106"/>
      <c r="E44" s="107">
        <f>ROUND((D18)/2*$B$44,-1)</f>
        <v>3270</v>
      </c>
      <c r="F44" s="107">
        <f>ROUND((D18+E18)/2*$B$44,-1)</f>
        <v>8180</v>
      </c>
      <c r="G44" s="107">
        <f>ROUND((E18+F18)/2*$B$44,-1)</f>
        <v>11450</v>
      </c>
      <c r="H44" s="113">
        <f>ROUND((F18+G18)/2*$B$44,-1)</f>
        <v>13080</v>
      </c>
    </row>
    <row r="45" spans="2:13" x14ac:dyDescent="0.2">
      <c r="C45" s="108" t="s">
        <v>38</v>
      </c>
      <c r="D45" s="109">
        <f>SUM(D42:D44)</f>
        <v>0</v>
      </c>
      <c r="E45" s="109">
        <f t="shared" ref="E45:H45" si="16">SUM(E42:E44)</f>
        <v>372470</v>
      </c>
      <c r="F45" s="109">
        <f t="shared" si="16"/>
        <v>931170</v>
      </c>
      <c r="G45" s="109">
        <f t="shared" si="16"/>
        <v>1303630</v>
      </c>
      <c r="H45" s="114">
        <f t="shared" si="16"/>
        <v>1489860</v>
      </c>
    </row>
    <row r="46" spans="2:13" s="7" customFormat="1" x14ac:dyDescent="0.2">
      <c r="C46" s="110"/>
      <c r="D46" s="107"/>
      <c r="E46" s="161"/>
      <c r="F46" s="161"/>
      <c r="G46" s="161"/>
      <c r="H46" s="161"/>
    </row>
    <row r="47" spans="2:13" x14ac:dyDescent="0.2">
      <c r="C47" s="127" t="s">
        <v>43</v>
      </c>
      <c r="D47" s="128">
        <f>D45-D39</f>
        <v>0</v>
      </c>
      <c r="E47" s="129">
        <f>E45-E39</f>
        <v>162950</v>
      </c>
      <c r="F47" s="129">
        <f>F45-F39</f>
        <v>512130</v>
      </c>
      <c r="G47" s="129">
        <f>G45-G39</f>
        <v>744910</v>
      </c>
      <c r="H47" s="130">
        <f>H45-H39</f>
        <v>861300</v>
      </c>
    </row>
    <row r="48" spans="2:13" s="17" customFormat="1" x14ac:dyDescent="0.2">
      <c r="C48" s="131"/>
      <c r="D48" s="132"/>
      <c r="E48" s="132"/>
      <c r="F48" s="132"/>
      <c r="G48" s="132"/>
      <c r="H48" s="132"/>
    </row>
    <row r="49" spans="2:13" s="17" customFormat="1" x14ac:dyDescent="0.2">
      <c r="B49" s="133" t="s">
        <v>47</v>
      </c>
      <c r="C49" s="131"/>
      <c r="D49" s="132"/>
      <c r="E49" s="132"/>
      <c r="F49" s="132"/>
      <c r="G49" s="132"/>
      <c r="H49" s="132"/>
    </row>
    <row r="50" spans="2:13" s="17" customFormat="1" x14ac:dyDescent="0.2">
      <c r="C50" s="17" t="s">
        <v>44</v>
      </c>
      <c r="D50" s="132"/>
      <c r="E50" s="132"/>
      <c r="F50" s="132"/>
      <c r="G50" s="132"/>
      <c r="H50" s="132"/>
    </row>
    <row r="51" spans="2:13" s="17" customFormat="1" x14ac:dyDescent="0.2">
      <c r="C51" s="17" t="s">
        <v>45</v>
      </c>
      <c r="D51" s="132"/>
      <c r="E51" s="132"/>
      <c r="F51" s="132"/>
      <c r="G51" s="132"/>
      <c r="H51" s="132"/>
    </row>
    <row r="52" spans="2:13" s="17" customFormat="1" x14ac:dyDescent="0.2">
      <c r="C52" s="17" t="s">
        <v>48</v>
      </c>
      <c r="D52" s="132"/>
      <c r="E52" s="132"/>
      <c r="F52" s="132"/>
      <c r="G52" s="132"/>
      <c r="H52" s="132"/>
    </row>
    <row r="53" spans="2:13" s="17" customFormat="1" x14ac:dyDescent="0.2">
      <c r="C53" s="17" t="s">
        <v>46</v>
      </c>
      <c r="D53" s="132"/>
      <c r="E53" s="132"/>
      <c r="F53" s="132"/>
      <c r="G53" s="132"/>
      <c r="H53" s="132"/>
    </row>
    <row r="54" spans="2:13" s="17" customFormat="1" x14ac:dyDescent="0.2">
      <c r="C54" s="17" t="s">
        <v>51</v>
      </c>
      <c r="D54" s="132"/>
      <c r="E54" s="132"/>
      <c r="F54" s="132"/>
      <c r="G54" s="132"/>
      <c r="H54" s="132"/>
    </row>
    <row r="55" spans="2:13" s="17" customFormat="1" x14ac:dyDescent="0.2">
      <c r="D55" s="132"/>
      <c r="E55" s="132"/>
      <c r="F55" s="132"/>
      <c r="G55" s="132"/>
      <c r="H55" s="132"/>
    </row>
    <row r="56" spans="2:13" s="17" customFormat="1" x14ac:dyDescent="0.2">
      <c r="C56" s="131" t="s">
        <v>62</v>
      </c>
      <c r="F56" s="132"/>
      <c r="G56" s="132"/>
      <c r="H56" s="132"/>
    </row>
    <row r="57" spans="2:13" s="17" customFormat="1" x14ac:dyDescent="0.2">
      <c r="C57" s="136"/>
      <c r="D57" s="134" t="s">
        <v>49</v>
      </c>
      <c r="E57" s="135" t="s">
        <v>50</v>
      </c>
      <c r="F57" s="132"/>
      <c r="G57" s="132"/>
      <c r="H57" s="132"/>
    </row>
    <row r="58" spans="2:13" s="17" customFormat="1" x14ac:dyDescent="0.2">
      <c r="C58" s="137" t="s">
        <v>2</v>
      </c>
      <c r="D58" s="162">
        <v>390.84340445366803</v>
      </c>
      <c r="E58" s="163">
        <v>218.26937477322915</v>
      </c>
      <c r="F58" s="132"/>
      <c r="G58" s="132"/>
      <c r="H58" s="132"/>
    </row>
    <row r="59" spans="2:13" s="17" customFormat="1" x14ac:dyDescent="0.2">
      <c r="C59" s="138" t="s">
        <v>5</v>
      </c>
      <c r="D59" s="164">
        <v>1025.5492082160708</v>
      </c>
      <c r="E59" s="165">
        <v>399.54426940857559</v>
      </c>
      <c r="F59" s="132"/>
      <c r="G59" s="132"/>
      <c r="H59" s="132"/>
    </row>
    <row r="60" spans="2:13" s="17" customFormat="1" x14ac:dyDescent="0.2">
      <c r="C60" s="131"/>
      <c r="D60" s="132"/>
      <c r="E60" s="132"/>
      <c r="F60" s="132"/>
      <c r="G60" s="132"/>
      <c r="H60" s="132"/>
    </row>
    <row r="61" spans="2:13" ht="12.75" thickBot="1" x14ac:dyDescent="0.25">
      <c r="C61" s="146" t="s">
        <v>22</v>
      </c>
      <c r="D61" s="147"/>
      <c r="E61" s="147"/>
      <c r="F61" s="147"/>
      <c r="G61" s="147"/>
      <c r="H61" s="147"/>
      <c r="I61"/>
      <c r="J61"/>
      <c r="K61"/>
      <c r="L61"/>
      <c r="M61"/>
    </row>
    <row r="62" spans="2:13" ht="12.75" x14ac:dyDescent="0.2">
      <c r="B62" s="57"/>
      <c r="C62" s="100" t="s">
        <v>23</v>
      </c>
      <c r="D62" s="58">
        <f>$D$73</f>
        <v>390.84340445366803</v>
      </c>
      <c r="E62" s="59">
        <f>$D$73</f>
        <v>390.84340445366803</v>
      </c>
      <c r="F62" s="59">
        <f>$D$73</f>
        <v>390.84340445366803</v>
      </c>
      <c r="G62" s="59">
        <f>$D$73</f>
        <v>390.84340445366803</v>
      </c>
      <c r="H62" s="59">
        <f>$D$73</f>
        <v>390.84340445366803</v>
      </c>
      <c r="I62"/>
      <c r="J62"/>
      <c r="K62"/>
      <c r="L62"/>
      <c r="M62"/>
    </row>
    <row r="63" spans="2:13" ht="12.75" x14ac:dyDescent="0.2">
      <c r="B63" s="57"/>
      <c r="C63" s="101" t="s">
        <v>24</v>
      </c>
      <c r="D63" s="60">
        <f>$D$74</f>
        <v>395.84340445366803</v>
      </c>
      <c r="E63" s="61">
        <f>$D$74</f>
        <v>395.84340445366803</v>
      </c>
      <c r="F63" s="61">
        <f>$D$74</f>
        <v>395.84340445366803</v>
      </c>
      <c r="G63" s="61">
        <f>$D$74</f>
        <v>395.84340445366803</v>
      </c>
      <c r="H63" s="61">
        <f>$D$74</f>
        <v>395.84340445366803</v>
      </c>
      <c r="I63"/>
      <c r="J63"/>
      <c r="K63"/>
      <c r="L63"/>
      <c r="M63"/>
    </row>
    <row r="64" spans="2:13" ht="13.5" thickBot="1" x14ac:dyDescent="0.25">
      <c r="C64" s="102" t="s">
        <v>25</v>
      </c>
      <c r="D64" s="62">
        <f>$D$76</f>
        <v>218.26937477322915</v>
      </c>
      <c r="E64" s="63">
        <f>$D$76</f>
        <v>218.26937477322915</v>
      </c>
      <c r="F64" s="63">
        <f>$D$76</f>
        <v>218.26937477322915</v>
      </c>
      <c r="G64" s="63">
        <f>$D$76</f>
        <v>218.26937477322915</v>
      </c>
      <c r="H64" s="63">
        <f>$D$76</f>
        <v>218.26937477322915</v>
      </c>
      <c r="I64"/>
      <c r="J64"/>
      <c r="K64"/>
      <c r="L64"/>
      <c r="M64"/>
    </row>
    <row r="65" spans="2:13" ht="12.75" thickBot="1" x14ac:dyDescent="0.25">
      <c r="C65" s="148" t="s">
        <v>5</v>
      </c>
      <c r="D65" s="149"/>
      <c r="E65" s="149"/>
      <c r="F65" s="149"/>
      <c r="G65" s="149"/>
      <c r="H65" s="149"/>
      <c r="I65"/>
      <c r="J65"/>
      <c r="K65"/>
      <c r="L65"/>
      <c r="M65"/>
    </row>
    <row r="66" spans="2:13" ht="12.75" x14ac:dyDescent="0.2">
      <c r="B66" s="57"/>
      <c r="C66" s="103" t="s">
        <v>26</v>
      </c>
      <c r="D66" s="58">
        <f>$E$73</f>
        <v>1025.5492082160708</v>
      </c>
      <c r="E66" s="59">
        <f>$E$73</f>
        <v>1025.5492082160708</v>
      </c>
      <c r="F66" s="59">
        <f>$E$73</f>
        <v>1025.5492082160708</v>
      </c>
      <c r="G66" s="59">
        <f>$E$73</f>
        <v>1025.5492082160708</v>
      </c>
      <c r="H66" s="59">
        <f>$E$73</f>
        <v>1025.5492082160708</v>
      </c>
      <c r="I66"/>
      <c r="J66"/>
      <c r="K66"/>
      <c r="L66"/>
      <c r="M66"/>
    </row>
    <row r="67" spans="2:13" ht="12.75" x14ac:dyDescent="0.2">
      <c r="B67" s="57"/>
      <c r="C67" s="104" t="s">
        <v>27</v>
      </c>
      <c r="D67" s="60">
        <f>$E$74</f>
        <v>1030.5492082160708</v>
      </c>
      <c r="E67" s="61">
        <f>$E$74</f>
        <v>1030.5492082160708</v>
      </c>
      <c r="F67" s="61">
        <f>$E$74</f>
        <v>1030.5492082160708</v>
      </c>
      <c r="G67" s="61">
        <f>$E$74</f>
        <v>1030.5492082160708</v>
      </c>
      <c r="H67" s="61">
        <f>$E$74</f>
        <v>1030.5492082160708</v>
      </c>
      <c r="I67"/>
      <c r="J67"/>
      <c r="K67"/>
      <c r="L67"/>
      <c r="M67"/>
    </row>
    <row r="68" spans="2:13" ht="13.5" thickBot="1" x14ac:dyDescent="0.25">
      <c r="C68" s="102" t="s">
        <v>28</v>
      </c>
      <c r="D68" s="62">
        <f>$E$76</f>
        <v>399.54426940857559</v>
      </c>
      <c r="E68" s="63">
        <f>$E$76</f>
        <v>399.54426940857559</v>
      </c>
      <c r="F68" s="63">
        <f>$E$76</f>
        <v>399.54426940857559</v>
      </c>
      <c r="G68" s="63">
        <f>$E$76</f>
        <v>399.54426940857559</v>
      </c>
      <c r="H68" s="63">
        <f>$E$76</f>
        <v>399.54426940857559</v>
      </c>
      <c r="I68"/>
      <c r="J68"/>
      <c r="K68"/>
      <c r="L68"/>
      <c r="M68"/>
    </row>
    <row r="69" spans="2:13" x14ac:dyDescent="0.2">
      <c r="C69" s="115"/>
      <c r="D69" s="115"/>
      <c r="E69" s="115"/>
      <c r="F69" s="7"/>
      <c r="G69" s="7"/>
      <c r="H69" s="115"/>
      <c r="I69"/>
      <c r="J69"/>
      <c r="K69"/>
      <c r="L69"/>
      <c r="M69"/>
    </row>
    <row r="70" spans="2:13" ht="12.75" thickBot="1" x14ac:dyDescent="0.25">
      <c r="C70" s="146"/>
      <c r="D70" s="150" t="s">
        <v>17</v>
      </c>
      <c r="E70" s="150" t="s">
        <v>5</v>
      </c>
      <c r="F70" s="7"/>
      <c r="G70" s="7"/>
      <c r="H70" s="7"/>
    </row>
    <row r="71" spans="2:13" ht="12.75" x14ac:dyDescent="0.2">
      <c r="C71" s="139" t="s">
        <v>52</v>
      </c>
      <c r="D71" s="116">
        <v>0.5</v>
      </c>
      <c r="E71" s="117">
        <f>D11</f>
        <v>0.5</v>
      </c>
      <c r="F71" s="7"/>
      <c r="G71" s="7"/>
      <c r="H71" s="7"/>
    </row>
    <row r="72" spans="2:13" ht="12.75" x14ac:dyDescent="0.2">
      <c r="C72" s="140" t="s">
        <v>18</v>
      </c>
      <c r="D72" s="54"/>
      <c r="E72" s="79"/>
      <c r="F72" s="7"/>
      <c r="G72" s="7"/>
      <c r="H72" s="7"/>
    </row>
    <row r="73" spans="2:13" ht="12.75" x14ac:dyDescent="0.2">
      <c r="C73" s="141" t="s">
        <v>41</v>
      </c>
      <c r="D73" s="55">
        <f>+D58</f>
        <v>390.84340445366803</v>
      </c>
      <c r="E73" s="80">
        <f>+D59</f>
        <v>1025.5492082160708</v>
      </c>
      <c r="F73" s="7"/>
      <c r="G73" s="7"/>
      <c r="H73" s="7"/>
    </row>
    <row r="74" spans="2:13" ht="12.75" x14ac:dyDescent="0.2">
      <c r="C74" s="142" t="s">
        <v>19</v>
      </c>
      <c r="D74" s="56">
        <f>+D73+5</f>
        <v>395.84340445366803</v>
      </c>
      <c r="E74" s="81">
        <f>+E73+5</f>
        <v>1030.5492082160708</v>
      </c>
      <c r="F74" s="7"/>
      <c r="G74" s="7"/>
      <c r="H74" s="7"/>
    </row>
    <row r="75" spans="2:13" ht="12.75" x14ac:dyDescent="0.2">
      <c r="C75" s="140" t="s">
        <v>20</v>
      </c>
      <c r="D75" s="54"/>
      <c r="E75" s="79"/>
      <c r="F75" s="7"/>
      <c r="G75" s="7"/>
      <c r="H75" s="7"/>
    </row>
    <row r="76" spans="2:13" ht="13.5" thickBot="1" x14ac:dyDescent="0.25">
      <c r="C76" s="143" t="s">
        <v>21</v>
      </c>
      <c r="D76" s="144">
        <f>+E58</f>
        <v>218.26937477322915</v>
      </c>
      <c r="E76" s="145">
        <f>+E59</f>
        <v>399.54426940857559</v>
      </c>
      <c r="F76" s="7"/>
      <c r="G76" s="7"/>
      <c r="H76" s="7"/>
    </row>
  </sheetData>
  <dataValidations count="1">
    <dataValidation type="list" allowBlank="1" showInputMessage="1" showErrorMessage="1" sqref="D10">
      <formula1>Rank</formula1>
    </dataValidation>
  </dataValidations>
  <pageMargins left="0.17" right="0.17" top="0.21" bottom="0.22" header="0.17" footer="0.17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A45" sqref="A45"/>
    </sheetView>
  </sheetViews>
  <sheetFormatPr defaultRowHeight="11.25" x14ac:dyDescent="0.2"/>
  <cols>
    <col min="2" max="2" width="14.1640625" hidden="1" customWidth="1"/>
  </cols>
  <sheetData>
    <row r="1" spans="2:2" x14ac:dyDescent="0.2">
      <c r="B1" t="s">
        <v>5</v>
      </c>
    </row>
    <row r="2" spans="2:2" x14ac:dyDescent="0.2">
      <c r="B2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Rank</vt:lpstr>
    </vt:vector>
  </TitlesOfParts>
  <Company>CC015WDSSVR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Michalowski, Clay</dc:creator>
  <cp:lastModifiedBy>Michalowski, Clay</cp:lastModifiedBy>
  <cp:lastPrinted>2013-07-11T15:05:35Z</cp:lastPrinted>
  <dcterms:created xsi:type="dcterms:W3CDTF">2013-03-28T19:32:37Z</dcterms:created>
  <dcterms:modified xsi:type="dcterms:W3CDTF">2018-05-07T11:15:36Z</dcterms:modified>
</cp:coreProperties>
</file>